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4CB5CDA9-54AF-440B-B137-79B09E06C88C}" xr6:coauthVersionLast="47" xr6:coauthVersionMax="47" xr10:uidLastSave="{00000000-0000-0000-0000-000000000000}"/>
  <bookViews>
    <workbookView xWindow="2200" yWindow="2410" windowWidth="26390" windowHeight="1859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3" l="1"/>
  <c r="L36" i="3"/>
  <c r="M35" i="3"/>
  <c r="N35" i="3" s="1"/>
  <c r="O35" i="3" s="1"/>
  <c r="L35" i="3"/>
  <c r="M34" i="3"/>
  <c r="L34" i="3"/>
  <c r="M33" i="3"/>
  <c r="N33" i="3" s="1"/>
  <c r="O33" i="3" s="1"/>
  <c r="L33" i="3"/>
  <c r="M32" i="3"/>
  <c r="N32" i="3" s="1"/>
  <c r="O32" i="3" s="1"/>
  <c r="L32" i="3"/>
  <c r="M31" i="3"/>
  <c r="L31" i="3"/>
  <c r="M30" i="3"/>
  <c r="L30" i="3"/>
  <c r="M29" i="3"/>
  <c r="L29" i="3"/>
  <c r="M28" i="3"/>
  <c r="N28" i="3" s="1"/>
  <c r="O28" i="3" s="1"/>
  <c r="L28" i="3"/>
  <c r="M27" i="3"/>
  <c r="N27" i="3" s="1"/>
  <c r="O27" i="3" s="1"/>
  <c r="L27" i="3"/>
  <c r="M26" i="3"/>
  <c r="L26" i="3"/>
  <c r="N26" i="3" s="1"/>
  <c r="O26" i="3" s="1"/>
  <c r="M25" i="3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47" i="3"/>
  <c r="G46" i="3"/>
  <c r="G45" i="3"/>
  <c r="G44" i="3"/>
  <c r="G43" i="3"/>
  <c r="G42" i="3"/>
  <c r="B37" i="3"/>
  <c r="F8" i="3"/>
  <c r="G8" i="3"/>
  <c r="N30" i="3" l="1"/>
  <c r="O30" i="3" s="1"/>
  <c r="N15" i="3"/>
  <c r="O15" i="3" s="1"/>
  <c r="N19" i="3"/>
  <c r="O19" i="3" s="1"/>
  <c r="N23" i="3"/>
  <c r="O23" i="3" s="1"/>
  <c r="N12" i="3"/>
  <c r="O12" i="3" s="1"/>
  <c r="N16" i="3"/>
  <c r="O16" i="3" s="1"/>
  <c r="N20" i="3"/>
  <c r="O20" i="3" s="1"/>
  <c r="N24" i="3"/>
  <c r="O24" i="3" s="1"/>
  <c r="N31" i="3"/>
  <c r="O31" i="3" s="1"/>
  <c r="N34" i="3"/>
  <c r="O34" i="3" s="1"/>
  <c r="N13" i="3"/>
  <c r="O13" i="3" s="1"/>
  <c r="N17" i="3"/>
  <c r="O17" i="3" s="1"/>
  <c r="N21" i="3"/>
  <c r="O21" i="3" s="1"/>
  <c r="N25" i="3"/>
  <c r="O25" i="3" s="1"/>
  <c r="N10" i="3"/>
  <c r="O10" i="3" s="1"/>
  <c r="N14" i="3"/>
  <c r="O14" i="3" s="1"/>
  <c r="N18" i="3"/>
  <c r="O18" i="3" s="1"/>
  <c r="N22" i="3"/>
  <c r="O22" i="3" s="1"/>
  <c r="N29" i="3"/>
  <c r="O29" i="3" s="1"/>
  <c r="N36" i="3"/>
  <c r="O36" i="3" s="1"/>
  <c r="N11" i="3"/>
  <c r="O11" i="3" s="1"/>
</calcChain>
</file>

<file path=xl/sharedStrings.xml><?xml version="1.0" encoding="utf-8"?>
<sst xmlns="http://schemas.openxmlformats.org/spreadsheetml/2006/main" count="273" uniqueCount="171">
  <si>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</si>
  <si>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</si>
  <si>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</si>
  <si>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</si>
  <si>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</si>
  <si>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</si>
  <si>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</si>
  <si>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</si>
  <si>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</si>
  <si>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</si>
  <si>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</si>
  <si>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</si>
  <si>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</si>
  <si>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</si>
  <si>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</si>
  <si>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</si>
  <si>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</si>
  <si>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</si>
  <si>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</si>
  <si>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</si>
  <si>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</si>
  <si>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</si>
  <si>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</si>
  <si>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</si>
  <si>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10/17/2025</t>
  </si>
  <si>
    <t>12:25 PM</t>
  </si>
  <si>
    <t>Quantity</t>
  </si>
  <si>
    <t>Manufacturer 1</t>
  </si>
  <si>
    <t>Analog Devices</t>
  </si>
  <si>
    <t>Samsung Electro-Mechanics</t>
  </si>
  <si>
    <t>Yageo Group</t>
  </si>
  <si>
    <t>Panasonic</t>
  </si>
  <si>
    <t>TE Connectivity</t>
  </si>
  <si>
    <t>Vishay</t>
  </si>
  <si>
    <t>Keystone</t>
  </si>
  <si>
    <t>Manufacturer Part Number 1</t>
  </si>
  <si>
    <t>ADG1404YRUZ-REEL7</t>
  </si>
  <si>
    <t>CL21B105KBFNFNE</t>
  </si>
  <si>
    <t>CC0805FRNPO9BN102</t>
  </si>
  <si>
    <t>CC0805JRNPO9BN680</t>
  </si>
  <si>
    <t>ECW-F2335HA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</si>
  <si>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</si>
  <si>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</si>
  <si>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</si>
  <si>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</si>
  <si>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</si>
  <si>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</si>
  <si>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</si>
  <si>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</si>
  <si>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ERA6AEB3480V</t>
  </si>
  <si>
    <t>ERA-6AEB2371V</t>
  </si>
  <si>
    <t>ERA6AEB2151V</t>
  </si>
  <si>
    <t>ERA-6AEB472V</t>
  </si>
  <si>
    <t>ERA6AEB432V</t>
  </si>
  <si>
    <t>ERA-6AEB49R9V</t>
  </si>
  <si>
    <t>ERA6AEB3320V</t>
  </si>
  <si>
    <t>ERA-6AEB4992V</t>
  </si>
  <si>
    <t>OP27GSZ-REEL7</t>
  </si>
  <si>
    <t>Supplier 1</t>
  </si>
  <si>
    <t>DigiKey</t>
  </si>
  <si>
    <t>Mouser</t>
  </si>
  <si>
    <t>None</t>
  </si>
  <si>
    <t>Digikey</t>
  </si>
  <si>
    <t>Supplier Part Number 1</t>
  </si>
  <si>
    <t>505-ADG1404YRUZ-REEL7CT-ND</t>
  </si>
  <si>
    <t>1276-2928-1-ND</t>
  </si>
  <si>
    <t>311-3378-1-ND</t>
  </si>
  <si>
    <t>311-1109-1-ND</t>
  </si>
  <si>
    <t>667-ECW-F2335HA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</si>
  <si>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</si>
  <si>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</si>
  <si>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</si>
  <si>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</si>
  <si>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</si>
  <si>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</si>
  <si>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</si>
  <si>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</si>
  <si>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</si>
  <si>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10-ERA-6AEB3480VCT-ND</t>
  </si>
  <si>
    <t>10-ERA-6AEB2371VCT-ND</t>
  </si>
  <si>
    <t>P2.15KDACT-ND</t>
  </si>
  <si>
    <t>P4.7KDACT-ND</t>
  </si>
  <si>
    <t>P4.3KDACT-ND</t>
  </si>
  <si>
    <t>P49.9DACT-ND</t>
  </si>
  <si>
    <t>P332DACT-ND</t>
  </si>
  <si>
    <t>P49.9KDACT-ND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</si>
  <si>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</si>
  <si>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</si>
  <si>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</si>
  <si>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</si>
  <si>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</si>
  <si>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</si>
  <si>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</si>
  <si>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</si>
  <si>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1nF</t>
  </si>
  <si>
    <t>68p</t>
  </si>
  <si>
    <t>3.3uF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</si>
  <si>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</si>
  <si>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</si>
  <si>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</si>
  <si>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</si>
  <si>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</si>
  <si>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</si>
  <si>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</si>
  <si>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</si>
  <si>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</si>
  <si>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348</t>
  </si>
  <si>
    <t>2.37K</t>
  </si>
  <si>
    <t>2.15K</t>
  </si>
  <si>
    <t>4.7K</t>
  </si>
  <si>
    <t>4.3K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</si>
  <si>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</si>
  <si>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</si>
  <si>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</si>
  <si>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</si>
  <si>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</si>
  <si>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</si>
  <si>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</si>
  <si>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</si>
  <si>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Film Capacitor, axial lead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</si>
  <si>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</si>
  <si>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</si>
  <si>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</si>
  <si>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</si>
  <si>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</si>
  <si>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</si>
  <si>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</si>
  <si>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</si>
  <si>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</si>
  <si>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</si>
  <si>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</si>
  <si>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</si>
  <si>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C18_G11, C18_G12, C18_G13, C18_G14, C18_G21, C18_G22, C18_G23, C18_G24, C19_G11, C19_G12, C19_G13, C19_G14, C19_G21, C19_G22, C19_G23, C19_G24</t>
  </si>
  <si>
    <t>C24_G11, C24_G12, C24_G13, C24_G14, C24_G21, C24_G22, C24_G23, C24_G24, C31_F1, C31_F2, C31_F3, C31_F4</t>
  </si>
  <si>
    <t>C16_G11, C16_G12, C16_G13, C16_G14, C16_G21, C16_G22, C16_G23, C16_G24, C17_G11, C17_G12, C17_G13, C17_G14, C17_G21, C17_G22, C17_G23, C17_G24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</si>
  <si>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</si>
  <si>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</si>
  <si>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</si>
  <si>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</si>
  <si>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R26_G11, R26_G12, R26_G13, R26_G14, R26_G21, R26_G22, R26_G23, R26_G24, R27_G11, R27_G12, R27_G13, R27_G14, R27_G21, R27_G22, R27_G23, R27_G24,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</si>
  <si>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</si>
  <si>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</si>
  <si>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</si>
  <si>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</si>
  <si>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R18_G11, R18_G12, R18_G13, R18_G14, R28_G11, R28_G12, R28_G13, R28_G14</t>
  </si>
  <si>
    <t>R18_G21, R18_G22, R18_G23, R18_G24, R19_G11, R19_G12, R19_G13, R19_G14, R22_G11, R22_G12, R22_G13, R22_G14, R28_G21, R28_G22, R28_G23, R28_G24</t>
  </si>
  <si>
    <t>R19_G21, R19_G22, R19_G23, R19_G24, R22_G21, R22_G22, R22_G23, R22_G24</t>
  </si>
  <si>
    <t>R20_G11, R20_G12, R20_G13, R20_G14, R24_G11, R24_G12, R24_G13, R24_G14</t>
  </si>
  <si>
    <t>R20_G21, R20_G22, R20_G23, R20_G24, R24_G21, R24_G22, R24_G23, R24_G24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</si>
  <si>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</si>
  <si>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</si>
  <si>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</si>
  <si>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</si>
  <si>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</si>
  <si>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</si>
  <si>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</si>
  <si>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</si>
  <si>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</si>
  <si>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</si>
  <si>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</si>
  <si>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B32529C105J-ALT, B32529C105J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</si>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</sst>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7" totalsRowShown="0" headerRowDxfId="19" dataDxfId="17" headerRowBorderDxfId="18" tableBorderDxfId="16">
  <autoFilter ref="B9:O37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7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45947</v>
      </c>
      <c r="G8" s="53">
        <f ca="1">NOW()</f>
        <v>45947.517599768522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58</v>
      </c>
      <c r="F9" s="40" t="s">
        <v>63</v>
      </c>
      <c r="G9" s="40" t="s">
        <v>91</v>
      </c>
      <c r="H9" s="40" t="s">
        <v>116</v>
      </c>
      <c r="I9" s="41" t="s">
        <v>129</v>
      </c>
      <c r="J9" s="40" t="s">
        <v>157</v>
      </c>
      <c r="K9" s="40" t="s">
        <v>169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 t="s">
        <v>28</v>
      </c>
      <c r="D10" s="46" t="s">
        <v>36</v>
      </c>
      <c r="E10" s="47" t="s">
        <v>59</v>
      </c>
      <c r="F10" s="47" t="s">
        <v>64</v>
      </c>
      <c r="G10" s="47" t="s">
        <v>92</v>
      </c>
      <c r="H10" s="47" t="s">
        <v>117</v>
      </c>
      <c r="I10" s="47" t="s">
        <v>130</v>
      </c>
      <c r="J10" s="47" t="s">
        <v>158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29</v>
      </c>
      <c r="D11" s="46" t="s">
        <v>37</v>
      </c>
      <c r="E11" s="47" t="s">
        <v>59</v>
      </c>
      <c r="F11" s="47" t="s">
        <v>65</v>
      </c>
      <c r="G11" s="47" t="s">
        <v>93</v>
      </c>
      <c r="H11" s="47" t="s">
        <v>118</v>
      </c>
      <c r="I11" s="47" t="s">
        <v>131</v>
      </c>
      <c r="J11" s="47" t="s">
        <v>159</v>
      </c>
      <c r="K11" s="47" t="s">
        <v>74</v>
      </c>
      <c r="L11" s="49">
        <f t="shared" ref="L11:L36" si="0">+IF(OR(K11="BGA",K11="FP",K11="TH"),1,IF($K$4*B11&lt;100,5,0))</f>
        <v>5</v>
      </c>
      <c r="M11" s="48">
        <f t="shared" ref="M11:M36" si="1">+IF(AND(K11="",$K$4*B11&gt;100),0.05,0)</f>
        <v>0</v>
      </c>
      <c r="N11" s="49">
        <f t="shared" ref="N11:N36" si="2">+ROUNDUP($K$4*B11*M11+L11,0)</f>
        <v>5</v>
      </c>
      <c r="O11" s="42">
        <f t="shared" ref="O11:O36" si="3">+IF(OR(LEFT(I11&amp;"",1)="C",LEFT(I11&amp;"",1)="R"),ROUNDUP($K$4*B11+N11,-1),$K$4*B11+N11)</f>
        <v>60</v>
      </c>
    </row>
    <row r="12" spans="1:15" s="2" customFormat="1" ht="20.5" x14ac:dyDescent="0.25">
      <c r="A12" s="13"/>
      <c r="B12" s="46">
        <v>16</v>
      </c>
      <c r="C12" s="46" t="s">
        <v>30</v>
      </c>
      <c r="D12" s="46" t="s">
        <v>38</v>
      </c>
      <c r="E12" s="47" t="s">
        <v>59</v>
      </c>
      <c r="F12" s="47" t="s">
        <v>66</v>
      </c>
      <c r="G12" s="47" t="s">
        <v>94</v>
      </c>
      <c r="H12" s="47" t="s">
        <v>118</v>
      </c>
      <c r="I12" s="47" t="s">
        <v>132</v>
      </c>
      <c r="J12" s="47" t="s">
        <v>159</v>
      </c>
      <c r="K12" s="47" t="s">
        <v>74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30</v>
      </c>
    </row>
    <row r="13" spans="1:15" s="2" customFormat="1" ht="20.5" x14ac:dyDescent="0.25">
      <c r="A13" s="13"/>
      <c r="B13" s="46">
        <v>12</v>
      </c>
      <c r="C13" s="46" t="s">
        <v>30</v>
      </c>
      <c r="D13" s="46" t="s">
        <v>39</v>
      </c>
      <c r="E13" s="47" t="s">
        <v>59</v>
      </c>
      <c r="F13" s="47" t="s">
        <v>67</v>
      </c>
      <c r="G13" s="47" t="s">
        <v>95</v>
      </c>
      <c r="H13" s="47" t="s">
        <v>118</v>
      </c>
      <c r="I13" s="47" t="s">
        <v>133</v>
      </c>
      <c r="J13" s="47" t="s">
        <v>159</v>
      </c>
      <c r="K13" s="47" t="s">
        <v>74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20.5" x14ac:dyDescent="0.25">
      <c r="A14" s="13"/>
      <c r="B14" s="46">
        <v>16</v>
      </c>
      <c r="C14" s="46" t="s">
        <v>31</v>
      </c>
      <c r="D14" s="46" t="s">
        <v>40</v>
      </c>
      <c r="E14" s="47" t="s">
        <v>60</v>
      </c>
      <c r="F14" s="47" t="s">
        <v>68</v>
      </c>
      <c r="G14" s="47" t="s">
        <v>96</v>
      </c>
      <c r="H14" s="47" t="s">
        <v>119</v>
      </c>
      <c r="I14" s="47" t="s">
        <v>134</v>
      </c>
      <c r="J14" s="47" t="s">
        <v>160</v>
      </c>
      <c r="K14" s="47" t="s">
        <v>170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20</v>
      </c>
    </row>
    <row r="15" spans="1:15" s="2" customFormat="1" ht="20.5" x14ac:dyDescent="0.25">
      <c r="A15" s="13"/>
      <c r="B15" s="46">
        <v>4</v>
      </c>
      <c r="C15" s="46" t="s">
        <v>28</v>
      </c>
      <c r="D15" s="46" t="s">
        <v>41</v>
      </c>
      <c r="E15" s="47" t="s">
        <v>59</v>
      </c>
      <c r="F15" s="47" t="s">
        <v>69</v>
      </c>
      <c r="G15" s="47" t="s">
        <v>97</v>
      </c>
      <c r="H15" s="47" t="s">
        <v>120</v>
      </c>
      <c r="I15" s="47" t="s">
        <v>135</v>
      </c>
      <c r="J15" s="47" t="s">
        <v>161</v>
      </c>
      <c r="K15" s="47" t="s">
        <v>74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20.5" x14ac:dyDescent="0.25">
      <c r="A16" s="13"/>
      <c r="B16" s="46">
        <v>1</v>
      </c>
      <c r="C16" s="46" t="s">
        <v>32</v>
      </c>
      <c r="D16" s="46" t="s">
        <v>42</v>
      </c>
      <c r="E16" s="47" t="s">
        <v>59</v>
      </c>
      <c r="F16" s="47" t="s">
        <v>70</v>
      </c>
      <c r="G16" s="47" t="s">
        <v>98</v>
      </c>
      <c r="H16" s="47" t="s">
        <v>121</v>
      </c>
      <c r="I16" s="47" t="s">
        <v>136</v>
      </c>
      <c r="J16" s="47" t="s">
        <v>162</v>
      </c>
      <c r="K16" s="47" t="s">
        <v>170</v>
      </c>
      <c r="L16" s="49">
        <f>+IF(OR(K16="BGA",K16="FP",K16="TH"),1,IF($K$4*B16&lt;100,5,0))</f>
        <v>1</v>
      </c>
      <c r="M16" s="48">
        <f>+IF(AND(K16="",$K$4*B16&gt;100),0.05,0)</f>
        <v>0</v>
      </c>
      <c r="N16" s="49">
        <f>+ROUNDUP($K$4*B16*M16+L16,0)</f>
        <v>1</v>
      </c>
      <c r="O16" s="42">
        <f>+IF(OR(LEFT(I16&amp;"",1)="C",LEFT(I16&amp;"",1)="R"),ROUNDUP($K$4*B16+N16,-1),$K$4*B16+N16)</f>
        <v>2</v>
      </c>
    </row>
    <row r="17" spans="1:15" s="2" customFormat="1" ht="20.5" x14ac:dyDescent="0.25">
      <c r="A17" s="13"/>
      <c r="B17" s="46">
        <v>4</v>
      </c>
      <c r="C17" s="46" t="s">
        <v>28</v>
      </c>
      <c r="D17" s="46" t="s">
        <v>43</v>
      </c>
      <c r="E17" s="47" t="s">
        <v>59</v>
      </c>
      <c r="F17" s="47" t="s">
        <v>71</v>
      </c>
      <c r="G17" s="47" t="s">
        <v>99</v>
      </c>
      <c r="H17" s="47" t="s">
        <v>122</v>
      </c>
      <c r="I17" s="47" t="s">
        <v>137</v>
      </c>
      <c r="J17" s="47" t="s">
        <v>163</v>
      </c>
      <c r="K17" s="47" t="s">
        <v>74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</v>
      </c>
    </row>
    <row r="18" spans="1:15" s="2" customFormat="1" ht="13" x14ac:dyDescent="0.25">
      <c r="A18" s="13"/>
      <c r="B18" s="46">
        <v>8</v>
      </c>
      <c r="C18" s="46" t="s">
        <v>31</v>
      </c>
      <c r="D18" s="46" t="s">
        <v>44</v>
      </c>
      <c r="E18" s="47" t="s">
        <v>59</v>
      </c>
      <c r="F18" s="47" t="s">
        <v>72</v>
      </c>
      <c r="G18" s="47" t="s">
        <v>100</v>
      </c>
      <c r="H18" s="47" t="s">
        <v>123</v>
      </c>
      <c r="I18" s="47" t="s">
        <v>138</v>
      </c>
      <c r="J18" s="47" t="s">
        <v>164</v>
      </c>
      <c r="K18" s="47" t="s">
        <v>74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50.5" x14ac:dyDescent="0.25">
      <c r="A19" s="13"/>
      <c r="B19" s="46">
        <v>48</v>
      </c>
      <c r="C19" s="46" t="s">
        <v>33</v>
      </c>
      <c r="D19" s="46" t="s">
        <v>45</v>
      </c>
      <c r="E19" s="47" t="s">
        <v>59</v>
      </c>
      <c r="F19" s="47" t="s">
        <v>73</v>
      </c>
      <c r="G19" s="47" t="s">
        <v>101</v>
      </c>
      <c r="H19" s="47" t="s">
        <v>123</v>
      </c>
      <c r="I19" s="47" t="s">
        <v>139</v>
      </c>
      <c r="J19" s="47" t="s">
        <v>164</v>
      </c>
      <c r="K19" s="47" t="s">
        <v>74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60</v>
      </c>
    </row>
    <row r="20" spans="1:15" s="2" customFormat="1" ht="13" x14ac:dyDescent="0.25">
      <c r="A20" s="13"/>
      <c r="B20" s="46">
        <v>8</v>
      </c>
      <c r="C20" s="46"/>
      <c r="D20" s="46"/>
      <c r="E20" s="47" t="s">
        <v>61</v>
      </c>
      <c r="F20" s="47" t="s">
        <v>74</v>
      </c>
      <c r="G20" s="47" t="s">
        <v>102</v>
      </c>
      <c r="H20" s="47" t="s">
        <v>123</v>
      </c>
      <c r="I20" s="47" t="s">
        <v>140</v>
      </c>
      <c r="J20" s="47" t="s">
        <v>164</v>
      </c>
      <c r="K20" s="47" t="s">
        <v>74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12</v>
      </c>
      <c r="C21" s="46" t="s">
        <v>31</v>
      </c>
      <c r="D21" s="46" t="s">
        <v>46</v>
      </c>
      <c r="E21" s="47" t="s">
        <v>59</v>
      </c>
      <c r="F21" s="47" t="s">
        <v>75</v>
      </c>
      <c r="G21" s="47" t="s">
        <v>103</v>
      </c>
      <c r="H21" s="47" t="s">
        <v>123</v>
      </c>
      <c r="I21" s="47" t="s">
        <v>141</v>
      </c>
      <c r="J21" s="47" t="s">
        <v>164</v>
      </c>
      <c r="K21" s="47" t="s">
        <v>74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13" x14ac:dyDescent="0.25">
      <c r="A22" s="13"/>
      <c r="B22" s="46">
        <v>8</v>
      </c>
      <c r="C22" s="46" t="s">
        <v>31</v>
      </c>
      <c r="D22" s="46" t="s">
        <v>47</v>
      </c>
      <c r="E22" s="47" t="s">
        <v>59</v>
      </c>
      <c r="F22" s="47" t="s">
        <v>76</v>
      </c>
      <c r="G22" s="47" t="s">
        <v>104</v>
      </c>
      <c r="H22" s="47" t="s">
        <v>123</v>
      </c>
      <c r="I22" s="47" t="s">
        <v>142</v>
      </c>
      <c r="J22" s="47" t="s">
        <v>164</v>
      </c>
      <c r="K22" s="47" t="s">
        <v>74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20.5" x14ac:dyDescent="0.25">
      <c r="A23" s="13"/>
      <c r="B23" s="46">
        <v>22</v>
      </c>
      <c r="C23" s="46" t="s">
        <v>31</v>
      </c>
      <c r="D23" s="46" t="s">
        <v>48</v>
      </c>
      <c r="E23" s="47" t="s">
        <v>62</v>
      </c>
      <c r="F23" s="47" t="s">
        <v>77</v>
      </c>
      <c r="G23" s="47" t="s">
        <v>105</v>
      </c>
      <c r="H23" s="47" t="s">
        <v>123</v>
      </c>
      <c r="I23" s="47" t="s">
        <v>143</v>
      </c>
      <c r="J23" s="47" t="s">
        <v>164</v>
      </c>
      <c r="K23" s="47" t="s">
        <v>74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30</v>
      </c>
    </row>
    <row r="24" spans="1:15" s="2" customFormat="1" ht="13" x14ac:dyDescent="0.25">
      <c r="A24" s="13"/>
      <c r="B24" s="46">
        <v>8</v>
      </c>
      <c r="C24" s="46" t="s">
        <v>31</v>
      </c>
      <c r="D24" s="46" t="s">
        <v>49</v>
      </c>
      <c r="E24" s="47" t="s">
        <v>59</v>
      </c>
      <c r="F24" s="47" t="s">
        <v>78</v>
      </c>
      <c r="G24" s="47" t="s">
        <v>106</v>
      </c>
      <c r="H24" s="47" t="s">
        <v>123</v>
      </c>
      <c r="I24" s="47" t="s">
        <v>144</v>
      </c>
      <c r="J24" s="47" t="s">
        <v>164</v>
      </c>
      <c r="K24" s="47" t="s">
        <v>74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20</v>
      </c>
    </row>
    <row r="25" spans="1:15" s="2" customFormat="1" ht="20.5" x14ac:dyDescent="0.25">
      <c r="A25" s="13"/>
      <c r="B25" s="46">
        <v>16</v>
      </c>
      <c r="C25" s="46" t="s">
        <v>31</v>
      </c>
      <c r="D25" s="46" t="s">
        <v>50</v>
      </c>
      <c r="E25" s="47" t="s">
        <v>59</v>
      </c>
      <c r="F25" s="47" t="s">
        <v>79</v>
      </c>
      <c r="G25" s="47" t="s">
        <v>107</v>
      </c>
      <c r="H25" s="47" t="s">
        <v>123</v>
      </c>
      <c r="I25" s="47" t="s">
        <v>145</v>
      </c>
      <c r="J25" s="47" t="s">
        <v>164</v>
      </c>
      <c r="K25" s="47" t="s">
        <v>74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30</v>
      </c>
    </row>
    <row r="26" spans="1:15" s="2" customFormat="1" ht="13" x14ac:dyDescent="0.25">
      <c r="A26" s="13"/>
      <c r="B26" s="46">
        <v>8</v>
      </c>
      <c r="C26" s="46" t="s">
        <v>31</v>
      </c>
      <c r="D26" s="46" t="s">
        <v>51</v>
      </c>
      <c r="E26" s="47" t="s">
        <v>59</v>
      </c>
      <c r="F26" s="47" t="s">
        <v>80</v>
      </c>
      <c r="G26" s="47" t="s">
        <v>108</v>
      </c>
      <c r="H26" s="47" t="s">
        <v>123</v>
      </c>
      <c r="I26" s="47" t="s">
        <v>146</v>
      </c>
      <c r="J26" s="47" t="s">
        <v>164</v>
      </c>
      <c r="K26" s="47" t="s">
        <v>74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20</v>
      </c>
    </row>
    <row r="27" spans="1:15" s="2" customFormat="1" ht="13" x14ac:dyDescent="0.25">
      <c r="A27" s="13"/>
      <c r="B27" s="46">
        <v>8</v>
      </c>
      <c r="C27" s="46" t="s">
        <v>31</v>
      </c>
      <c r="D27" s="46" t="s">
        <v>52</v>
      </c>
      <c r="E27" s="47" t="s">
        <v>59</v>
      </c>
      <c r="F27" s="47" t="s">
        <v>81</v>
      </c>
      <c r="G27" s="47" t="s">
        <v>109</v>
      </c>
      <c r="H27" s="47" t="s">
        <v>123</v>
      </c>
      <c r="I27" s="47" t="s">
        <v>147</v>
      </c>
      <c r="J27" s="47" t="s">
        <v>164</v>
      </c>
      <c r="K27" s="47" t="s">
        <v>74</v>
      </c>
      <c r="L27" s="49">
        <f t="shared" ref="L27:L36" si="32">+IF(OR(K27="BGA",K27="FP",K27="TH"),1,IF($K$4*B27&lt;100,5,0))</f>
        <v>5</v>
      </c>
      <c r="M27" s="48">
        <f t="shared" ref="M27:M36" si="33">+IF(AND(K27="",$K$4*B27&gt;100),0.05,0)</f>
        <v>0</v>
      </c>
      <c r="N27" s="49">
        <f t="shared" ref="N27:N36" si="34">+ROUNDUP($K$4*B27*M27+L27,0)</f>
        <v>5</v>
      </c>
      <c r="O27" s="42">
        <f t="shared" ref="O27:O36" si="35">+IF(OR(LEFT(I27&amp;"",1)="C",LEFT(I27&amp;"",1)="R"),ROUNDUP($K$4*B27+N27,-1),$K$4*B27+N27)</f>
        <v>20</v>
      </c>
    </row>
    <row r="28" spans="1:15" s="2" customFormat="1" ht="13" x14ac:dyDescent="0.25">
      <c r="A28" s="13"/>
      <c r="B28" s="46">
        <v>8</v>
      </c>
      <c r="C28" s="46" t="s">
        <v>31</v>
      </c>
      <c r="D28" s="46" t="s">
        <v>53</v>
      </c>
      <c r="E28" s="47" t="s">
        <v>62</v>
      </c>
      <c r="F28" s="47" t="s">
        <v>82</v>
      </c>
      <c r="G28" s="47" t="s">
        <v>110</v>
      </c>
      <c r="H28" s="47" t="s">
        <v>123</v>
      </c>
      <c r="I28" s="47" t="s">
        <v>148</v>
      </c>
      <c r="J28" s="47" t="s">
        <v>164</v>
      </c>
      <c r="K28" s="47" t="s">
        <v>74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20</v>
      </c>
    </row>
    <row r="29" spans="1:15" s="2" customFormat="1" ht="13" x14ac:dyDescent="0.25">
      <c r="A29" s="13"/>
      <c r="B29" s="46">
        <v>8</v>
      </c>
      <c r="C29" s="46" t="s">
        <v>31</v>
      </c>
      <c r="D29" s="46" t="s">
        <v>54</v>
      </c>
      <c r="E29" s="47" t="s">
        <v>62</v>
      </c>
      <c r="F29" s="47" t="s">
        <v>83</v>
      </c>
      <c r="G29" s="47" t="s">
        <v>111</v>
      </c>
      <c r="H29" s="47" t="s">
        <v>123</v>
      </c>
      <c r="I29" s="47" t="s">
        <v>149</v>
      </c>
      <c r="J29" s="47" t="s">
        <v>164</v>
      </c>
      <c r="K29" s="47" t="s">
        <v>74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20</v>
      </c>
    </row>
    <row r="30" spans="1:15" s="2" customFormat="1" ht="13" x14ac:dyDescent="0.25">
      <c r="A30" s="13"/>
      <c r="B30" s="46">
        <v>4</v>
      </c>
      <c r="C30" s="46" t="s">
        <v>31</v>
      </c>
      <c r="D30" s="46" t="s">
        <v>55</v>
      </c>
      <c r="E30" s="47" t="s">
        <v>59</v>
      </c>
      <c r="F30" s="47" t="s">
        <v>84</v>
      </c>
      <c r="G30" s="47" t="s">
        <v>112</v>
      </c>
      <c r="H30" s="47" t="s">
        <v>123</v>
      </c>
      <c r="I30" s="47" t="s">
        <v>150</v>
      </c>
      <c r="J30" s="47" t="s">
        <v>164</v>
      </c>
      <c r="K30" s="47" t="s">
        <v>74</v>
      </c>
      <c r="L30" s="49">
        <f>+IF(OR(K30="BGA",K30="FP",K30="TH"),1,IF($K$4*B30&lt;100,5,0))</f>
        <v>5</v>
      </c>
      <c r="M30" s="48">
        <f>+IF(AND(K30="",$K$4*B30&gt;100),0.05,0)</f>
        <v>0</v>
      </c>
      <c r="N30" s="49">
        <f>+ROUNDUP($K$4*B30*M30+L30,0)</f>
        <v>5</v>
      </c>
      <c r="O30" s="42">
        <f>+IF(OR(LEFT(I30&amp;"",1)="C",LEFT(I30&amp;"",1)="R"),ROUNDUP($K$4*B30+N30,-1),$K$4*B30+N30)</f>
        <v>10</v>
      </c>
    </row>
    <row r="31" spans="1:15" s="2" customFormat="1" ht="13" x14ac:dyDescent="0.25">
      <c r="A31" s="13"/>
      <c r="B31" s="46">
        <v>4</v>
      </c>
      <c r="C31" s="46" t="s">
        <v>31</v>
      </c>
      <c r="D31" s="46" t="s">
        <v>56</v>
      </c>
      <c r="E31" s="47" t="s">
        <v>59</v>
      </c>
      <c r="F31" s="47" t="s">
        <v>85</v>
      </c>
      <c r="G31" s="47" t="s">
        <v>113</v>
      </c>
      <c r="H31" s="47" t="s">
        <v>123</v>
      </c>
      <c r="I31" s="47" t="s">
        <v>151</v>
      </c>
      <c r="J31" s="47" t="s">
        <v>164</v>
      </c>
      <c r="K31" s="47" t="s">
        <v>74</v>
      </c>
      <c r="L31" s="49">
        <f t="shared" ref="L31:L33" si="40">+IF(OR(K31="BGA",K31="FP",K31="TH"),1,IF($K$4*B31&lt;100,5,0))</f>
        <v>5</v>
      </c>
      <c r="M31" s="48">
        <f t="shared" ref="M31:M33" si="41">+IF(AND(K31="",$K$4*B31&gt;100),0.05,0)</f>
        <v>0</v>
      </c>
      <c r="N31" s="49">
        <f t="shared" ref="N31:N33" si="42">+ROUNDUP($K$4*B31*M31+L31,0)</f>
        <v>5</v>
      </c>
      <c r="O31" s="42">
        <f t="shared" ref="O31:O33" si="43">+IF(OR(LEFT(I31&amp;"",1)="C",LEFT(I31&amp;"",1)="R"),ROUNDUP($K$4*B31+N31,-1),$K$4*B31+N31)</f>
        <v>10</v>
      </c>
    </row>
    <row r="32" spans="1:15" s="2" customFormat="1" ht="13" x14ac:dyDescent="0.25">
      <c r="A32" s="13"/>
      <c r="B32" s="46">
        <v>3</v>
      </c>
      <c r="C32" s="46" t="s">
        <v>34</v>
      </c>
      <c r="D32" s="46">
        <v>5006</v>
      </c>
      <c r="E32" s="47" t="s">
        <v>59</v>
      </c>
      <c r="F32" s="47" t="s">
        <v>86</v>
      </c>
      <c r="G32" s="47" t="s">
        <v>114</v>
      </c>
      <c r="H32" s="47" t="s">
        <v>124</v>
      </c>
      <c r="I32" s="47" t="s">
        <v>152</v>
      </c>
      <c r="J32" s="47" t="s">
        <v>165</v>
      </c>
      <c r="K32" s="47" t="s">
        <v>170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4</v>
      </c>
    </row>
    <row r="33" spans="1:15" s="2" customFormat="1" ht="13" x14ac:dyDescent="0.25">
      <c r="A33" s="13"/>
      <c r="B33" s="46">
        <v>2</v>
      </c>
      <c r="C33" s="46" t="s">
        <v>34</v>
      </c>
      <c r="D33" s="46">
        <v>5005</v>
      </c>
      <c r="E33" s="47" t="s">
        <v>59</v>
      </c>
      <c r="F33" s="47" t="s">
        <v>87</v>
      </c>
      <c r="G33" s="47" t="s">
        <v>114</v>
      </c>
      <c r="H33" s="47" t="s">
        <v>125</v>
      </c>
      <c r="I33" s="47" t="s">
        <v>153</v>
      </c>
      <c r="J33" s="47" t="s">
        <v>166</v>
      </c>
      <c r="K33" s="47" t="s">
        <v>170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3</v>
      </c>
    </row>
    <row r="34" spans="1:15" s="2" customFormat="1" ht="13" x14ac:dyDescent="0.25">
      <c r="A34" s="13"/>
      <c r="B34" s="46">
        <v>1</v>
      </c>
      <c r="C34" s="46" t="s">
        <v>34</v>
      </c>
      <c r="D34" s="46">
        <v>5007</v>
      </c>
      <c r="E34" s="47" t="s">
        <v>59</v>
      </c>
      <c r="F34" s="47" t="s">
        <v>88</v>
      </c>
      <c r="G34" s="47" t="s">
        <v>114</v>
      </c>
      <c r="H34" s="47" t="s">
        <v>126</v>
      </c>
      <c r="I34" s="47" t="s">
        <v>154</v>
      </c>
      <c r="J34" s="47" t="s">
        <v>167</v>
      </c>
      <c r="K34" s="47" t="s">
        <v>170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2</v>
      </c>
    </row>
    <row r="35" spans="1:15" s="2" customFormat="1" ht="30.5" x14ac:dyDescent="0.25">
      <c r="A35" s="13"/>
      <c r="B35" s="46">
        <v>24</v>
      </c>
      <c r="C35" s="46" t="s">
        <v>34</v>
      </c>
      <c r="D35" s="46">
        <v>5009</v>
      </c>
      <c r="E35" s="47" t="s">
        <v>59</v>
      </c>
      <c r="F35" s="47" t="s">
        <v>89</v>
      </c>
      <c r="G35" s="47" t="s">
        <v>114</v>
      </c>
      <c r="H35" s="47" t="s">
        <v>127</v>
      </c>
      <c r="I35" s="47" t="s">
        <v>155</v>
      </c>
      <c r="J35" s="47" t="s">
        <v>168</v>
      </c>
      <c r="K35" s="47" t="s">
        <v>170</v>
      </c>
      <c r="L35" s="49">
        <f t="shared" ref="L35:L36" si="48">+IF(OR(K35="BGA",K35="FP",K35="TH"),1,IF($K$4*B35&lt;100,5,0))</f>
        <v>1</v>
      </c>
      <c r="M35" s="48">
        <f t="shared" ref="M35:M36" si="49">+IF(AND(K35="",$K$4*B35&gt;100),0.05,0)</f>
        <v>0</v>
      </c>
      <c r="N35" s="49">
        <f t="shared" ref="N35:N36" si="50">+ROUNDUP($K$4*B35*M35+L35,0)</f>
        <v>1</v>
      </c>
      <c r="O35" s="42">
        <f t="shared" ref="O35:O36" si="51">+IF(OR(LEFT(I35&amp;"",1)="C",LEFT(I35&amp;"",1)="R"),ROUNDUP($K$4*B35+N35,-1),$K$4*B35+N35)</f>
        <v>25</v>
      </c>
    </row>
    <row r="36" spans="1:15" x14ac:dyDescent="0.25">
      <c r="A36" s="13"/>
      <c r="B36" s="46">
        <v>12</v>
      </c>
      <c r="C36" s="46" t="s">
        <v>28</v>
      </c>
      <c r="D36" s="46" t="s">
        <v>57</v>
      </c>
      <c r="E36" s="47" t="s">
        <v>59</v>
      </c>
      <c r="F36" s="47" t="s">
        <v>90</v>
      </c>
      <c r="G36" s="47" t="s">
        <v>115</v>
      </c>
      <c r="H36" s="47" t="s">
        <v>128</v>
      </c>
      <c r="I36" s="47" t="s">
        <v>156</v>
      </c>
      <c r="J36" s="47" t="s">
        <v>161</v>
      </c>
      <c r="K36" s="47" t="s">
        <v>74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17</v>
      </c>
    </row>
    <row r="37" spans="1:15" x14ac:dyDescent="0.25">
      <c r="A37" s="14"/>
      <c r="B37" s="43">
        <f>SUM(B10:B36)</f>
        <v>317</v>
      </c>
      <c r="C37" s="50"/>
      <c r="D37" s="50"/>
      <c r="E37" s="44" t="s">
        <v>9</v>
      </c>
      <c r="F37" s="44"/>
      <c r="G37" s="44"/>
      <c r="H37" s="44"/>
      <c r="I37" s="45"/>
      <c r="J37" s="45"/>
      <c r="K37" s="44"/>
      <c r="L37" s="45"/>
      <c r="M37" s="45"/>
      <c r="N37" s="45"/>
      <c r="O37" s="45"/>
    </row>
    <row r="38" spans="1:15" x14ac:dyDescent="0.25">
      <c r="B38" s="1"/>
      <c r="C38" s="1"/>
      <c r="D38" s="1"/>
      <c r="E38" s="1"/>
    </row>
    <row r="39" spans="1:15" x14ac:dyDescent="0.25">
      <c r="B39" s="1"/>
      <c r="C39" s="1"/>
      <c r="D39" s="1"/>
      <c r="E39" s="1"/>
    </row>
    <row r="40" spans="1:15" x14ac:dyDescent="0.25">
      <c r="B40" s="1"/>
      <c r="C40" s="1"/>
      <c r="D40" s="1"/>
      <c r="E40" s="1"/>
    </row>
    <row r="41" spans="1:15" ht="17.5" x14ac:dyDescent="0.25">
      <c r="B41" s="1"/>
      <c r="C41" s="1"/>
      <c r="D41" s="1"/>
      <c r="E41" s="55" t="s">
        <v>8</v>
      </c>
      <c r="F41" s="56"/>
      <c r="G41" s="57"/>
      <c r="H41" s="20"/>
      <c r="I41" s="21"/>
    </row>
    <row r="42" spans="1:15" x14ac:dyDescent="0.25">
      <c r="E42" s="33" t="s">
        <v>3</v>
      </c>
      <c r="F42" s="34"/>
      <c r="G42" s="35">
        <f>COUNT(B10:B36)</f>
        <v>27</v>
      </c>
    </row>
    <row r="43" spans="1:15" x14ac:dyDescent="0.25">
      <c r="E43" s="16" t="s">
        <v>4</v>
      </c>
      <c r="F43" s="30"/>
      <c r="G43" s="28">
        <f>SUMIF($K$10:$K$36, "", $B$10:$B$36)</f>
        <v>270</v>
      </c>
    </row>
    <row r="44" spans="1:15" x14ac:dyDescent="0.25">
      <c r="E44" s="33" t="s">
        <v>5</v>
      </c>
      <c r="F44" s="34"/>
      <c r="G44" s="36">
        <f>SUMIF($K$10:$K$36, "TH", $B$10:$B$36)</f>
        <v>47</v>
      </c>
    </row>
    <row r="45" spans="1:15" x14ac:dyDescent="0.25">
      <c r="E45" s="16" t="s">
        <v>6</v>
      </c>
      <c r="F45" s="30"/>
      <c r="G45" s="28">
        <f>SUMIF($K$10:$K$36, "FP", $B$10:$B$36)</f>
        <v>0</v>
      </c>
    </row>
    <row r="46" spans="1:15" x14ac:dyDescent="0.25">
      <c r="E46" s="33" t="s">
        <v>7</v>
      </c>
      <c r="F46" s="34"/>
      <c r="G46" s="36">
        <f>SUMIF($K$10:$K$36, "BGA", $B$10:$B$36)</f>
        <v>0</v>
      </c>
    </row>
    <row r="47" spans="1:15" x14ac:dyDescent="0.25">
      <c r="E47" s="27" t="s">
        <v>16</v>
      </c>
      <c r="F47" s="31"/>
      <c r="G47" s="29">
        <f>SUMIF($K$10:$K$36, "M", $B$10:$B$36)</f>
        <v>0</v>
      </c>
    </row>
  </sheetData>
  <mergeCells count="3">
    <mergeCell ref="I4:J4"/>
    <mergeCell ref="G8:H8"/>
    <mergeCell ref="E41:G41"/>
  </mergeCells>
  <phoneticPr fontId="0" type="noConversion"/>
  <conditionalFormatting sqref="B10:N36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2025-10-17T19:25:21Z</dcterms:modified>
</cp:coreProperties>
</file>